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955" activeTab="2"/>
  </bookViews>
  <sheets>
    <sheet name="Senza finanziamento" sheetId="1" r:id="rId1"/>
    <sheet name="con finanziamento" sheetId="2" r:id="rId2"/>
    <sheet name="Anni per pareggio" sheetId="3" r:id="rId3"/>
  </sheets>
  <definedNames/>
  <calcPr fullCalcOnLoad="1"/>
</workbook>
</file>

<file path=xl/sharedStrings.xml><?xml version="1.0" encoding="utf-8"?>
<sst xmlns="http://schemas.openxmlformats.org/spreadsheetml/2006/main" count="95" uniqueCount="36">
  <si>
    <t>COSTO IMPIANTO</t>
  </si>
  <si>
    <t>IVA</t>
  </si>
  <si>
    <t>COSTO IMPIANTO +IVA</t>
  </si>
  <si>
    <t>COSTO MANUTENZIONE IMPIANTO DOPO DIECI ANNI</t>
  </si>
  <si>
    <t xml:space="preserve">CONSUMO IN PERCENTUALE DELL'ENERGIA PRODOTTA </t>
  </si>
  <si>
    <t xml:space="preserve">INCENTIVO UNITARIO PER kw PRODOTTI </t>
  </si>
  <si>
    <t xml:space="preserve">INCENTIVO ANNUALE PER kw PRODOTTI </t>
  </si>
  <si>
    <t>TEMPO</t>
  </si>
  <si>
    <t>IN ANNI</t>
  </si>
  <si>
    <t xml:space="preserve">KW PRODOTTI </t>
  </si>
  <si>
    <t>RISPARMIO UNITARIO RELATIVO ALL'ENERGIA PRODOTTA E CONSUMATA</t>
  </si>
  <si>
    <t>RISPARMIO  RELATIVO ALL'ENERGIA PRODOTTA E CONSUMATA</t>
  </si>
  <si>
    <t xml:space="preserve">CONSUMO TOTALE </t>
  </si>
  <si>
    <t>CONSUMO PRELEVATO DALLA RETE DA PAGARE AL GSE</t>
  </si>
  <si>
    <t>KW PRODOTTI DA VENDERE AL GSE</t>
  </si>
  <si>
    <t>PREZZO DI VENDITA  AL GSE DEI KW PRODOTTI E NON SFRUTTATI</t>
  </si>
  <si>
    <t>RICAVO DALLA VENDITA  AL GSE DEI KW PRODOTTI E NON SFRUTTATI</t>
  </si>
  <si>
    <t>DURATA IMPIANTO</t>
  </si>
  <si>
    <t>REA  =</t>
  </si>
  <si>
    <t xml:space="preserve">CONSUMO IN KW  DELL'ENERGIA PRODOTTA </t>
  </si>
  <si>
    <t>FINANZIAMENTO</t>
  </si>
  <si>
    <t>QUOTA DA FINANZIARE</t>
  </si>
  <si>
    <t>TASSO AMMORTAMENTO</t>
  </si>
  <si>
    <t>RATA AMMORTAMENTO</t>
  </si>
  <si>
    <t>N ANNI</t>
  </si>
  <si>
    <t>TASSO VALUTAZIONE</t>
  </si>
  <si>
    <t>numero ANNI</t>
  </si>
  <si>
    <t>N   ANNI PAREGGIO</t>
  </si>
  <si>
    <t>IP</t>
  </si>
  <si>
    <t>INDICE DI PROFITTO</t>
  </si>
  <si>
    <t xml:space="preserve"> TASSO VALUTAZIONE</t>
  </si>
  <si>
    <t xml:space="preserve">CONSUMO PRELEVATO DALLA RETE DA PAGARE </t>
  </si>
  <si>
    <t>VALUTANDO COSTO IMPIANTO E INCENTIVO</t>
  </si>
  <si>
    <t xml:space="preserve"> L'ENERGIA PRODOTTA E CONSUMATA</t>
  </si>
  <si>
    <t xml:space="preserve">TEMPO </t>
  </si>
  <si>
    <t xml:space="preserve">VALUTANDO ANCHE IL RISPARMIO PER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</si>
</sst>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  <numFmt numFmtId="170" formatCode="0.00000000"/>
  </numFmts>
  <fonts count="8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9" fontId="2" fillId="2" borderId="1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8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5" borderId="9" xfId="0" applyFill="1" applyBorder="1" applyAlignment="1">
      <alignment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center"/>
    </xf>
    <xf numFmtId="0" fontId="0" fillId="5" borderId="12" xfId="0" applyFill="1" applyBorder="1" applyAlignment="1">
      <alignment/>
    </xf>
    <xf numFmtId="0" fontId="3" fillId="5" borderId="13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3" borderId="17" xfId="0" applyFont="1" applyFill="1" applyBorder="1" applyAlignment="1">
      <alignment/>
    </xf>
    <xf numFmtId="0" fontId="1" fillId="3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0" fillId="3" borderId="18" xfId="0" applyFill="1" applyBorder="1" applyAlignment="1">
      <alignment/>
    </xf>
    <xf numFmtId="0" fontId="1" fillId="3" borderId="20" xfId="0" applyFont="1" applyFill="1" applyBorder="1" applyAlignment="1">
      <alignment/>
    </xf>
    <xf numFmtId="0" fontId="0" fillId="3" borderId="21" xfId="0" applyFill="1" applyBorder="1" applyAlignment="1">
      <alignment/>
    </xf>
    <xf numFmtId="2" fontId="4" fillId="3" borderId="22" xfId="0" applyNumberFormat="1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2" fillId="3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9" fontId="2" fillId="2" borderId="19" xfId="0" applyNumberFormat="1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1" fillId="4" borderId="26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1" fillId="3" borderId="27" xfId="0" applyFont="1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2" fillId="3" borderId="22" xfId="0" applyFont="1" applyFill="1" applyBorder="1" applyAlignment="1">
      <alignment/>
    </xf>
    <xf numFmtId="0" fontId="6" fillId="5" borderId="29" xfId="0" applyFont="1" applyFill="1" applyBorder="1" applyAlignment="1">
      <alignment/>
    </xf>
    <xf numFmtId="0" fontId="4" fillId="5" borderId="27" xfId="0" applyFont="1" applyFill="1" applyBorder="1" applyAlignment="1">
      <alignment horizontal="center"/>
    </xf>
    <xf numFmtId="2" fontId="4" fillId="5" borderId="2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0" fontId="6" fillId="5" borderId="23" xfId="0" applyFont="1" applyFill="1" applyBorder="1" applyAlignment="1">
      <alignment/>
    </xf>
    <xf numFmtId="0" fontId="0" fillId="5" borderId="25" xfId="0" applyFill="1" applyBorder="1" applyAlignment="1">
      <alignment/>
    </xf>
    <xf numFmtId="2" fontId="4" fillId="5" borderId="22" xfId="0" applyNumberFormat="1" applyFont="1" applyFill="1" applyBorder="1" applyAlignment="1">
      <alignment/>
    </xf>
    <xf numFmtId="2" fontId="5" fillId="5" borderId="11" xfId="0" applyNumberFormat="1" applyFont="1" applyFill="1" applyBorder="1" applyAlignment="1">
      <alignment horizontal="center"/>
    </xf>
    <xf numFmtId="2" fontId="4" fillId="5" borderId="30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/>
    </xf>
    <xf numFmtId="0" fontId="3" fillId="5" borderId="31" xfId="0" applyFont="1" applyFill="1" applyBorder="1" applyAlignment="1">
      <alignment horizontal="center"/>
    </xf>
    <xf numFmtId="0" fontId="3" fillId="6" borderId="1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5" fillId="6" borderId="10" xfId="0" applyFont="1" applyFill="1" applyBorder="1" applyAlignment="1">
      <alignment horizontal="right"/>
    </xf>
    <xf numFmtId="2" fontId="5" fillId="6" borderId="11" xfId="0" applyNumberFormat="1" applyFont="1" applyFill="1" applyBorder="1" applyAlignment="1">
      <alignment horizontal="center"/>
    </xf>
    <xf numFmtId="0" fontId="0" fillId="6" borderId="12" xfId="0" applyFill="1" applyBorder="1" applyAlignment="1">
      <alignment/>
    </xf>
    <xf numFmtId="0" fontId="5" fillId="6" borderId="11" xfId="0" applyFont="1" applyFill="1" applyBorder="1" applyAlignment="1">
      <alignment horizontal="center"/>
    </xf>
    <xf numFmtId="0" fontId="6" fillId="6" borderId="23" xfId="0" applyFont="1" applyFill="1" applyBorder="1" applyAlignment="1">
      <alignment/>
    </xf>
    <xf numFmtId="0" fontId="0" fillId="6" borderId="25" xfId="0" applyFill="1" applyBorder="1" applyAlignment="1">
      <alignment/>
    </xf>
    <xf numFmtId="0" fontId="4" fillId="6" borderId="27" xfId="0" applyFont="1" applyFill="1" applyBorder="1" applyAlignment="1">
      <alignment horizontal="center"/>
    </xf>
    <xf numFmtId="2" fontId="4" fillId="6" borderId="22" xfId="0" applyNumberFormat="1" applyFont="1" applyFill="1" applyBorder="1" applyAlignment="1">
      <alignment/>
    </xf>
    <xf numFmtId="0" fontId="3" fillId="6" borderId="16" xfId="0" applyFont="1" applyFill="1" applyBorder="1" applyAlignment="1">
      <alignment/>
    </xf>
    <xf numFmtId="0" fontId="6" fillId="6" borderId="29" xfId="0" applyFont="1" applyFill="1" applyBorder="1" applyAlignment="1">
      <alignment/>
    </xf>
    <xf numFmtId="2" fontId="4" fillId="6" borderId="22" xfId="0" applyNumberFormat="1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1" fontId="4" fillId="6" borderId="3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38100</xdr:rowOff>
    </xdr:from>
    <xdr:to>
      <xdr:col>8</xdr:col>
      <xdr:colOff>400050</xdr:colOff>
      <xdr:row>10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38100"/>
          <a:ext cx="8562975" cy="1657350"/>
        </a:xfrm>
        <a:prstGeom prst="rect">
          <a:avLst/>
        </a:prstGeom>
        <a:solidFill>
          <a:srgbClr val="00FF00"/>
        </a:solidFill>
        <a:ln w="57150" cmpd="thinThick">
          <a:solidFill>
            <a:srgbClr val="33996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Si fa l'ipotesi di un impianto fotovoltaico che produce 3600 kw all'anno per una casa domotica:
a) il costo iniziale dell'impianto è di € 13000 + 10% di Iva 
b) viene dato un incentivo di € 0,47per ogni kw prodotto all'anno e per 20 anni:
c) viene previsto dopo dieci anni un costo pari a € 1430 per manutenzione dell'impianto
d) supponendo un consumo del 30% dell'energia prodotta all'anno (l'energia che viene consumata mentre viene prodotta e nei limiti della produzione non comporta costi) si realizza un risparmio di € 0,18 per ogni kw risparmiato
e) supponendo inoltre di consumare 4000 kw all'anno, si ha un costo aggiuntivo di  € 0,18 da pagare al gestore per i  2920 kw rimanenti
f) inoltre vengono venduti al GSE i 2520 ( 3600-1080) kw  non sfruttati e che vengono pagati € 0,14 al kw senza Iva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152400</xdr:rowOff>
    </xdr:from>
    <xdr:to>
      <xdr:col>9</xdr:col>
      <xdr:colOff>57150</xdr:colOff>
      <xdr:row>10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52400"/>
          <a:ext cx="8667750" cy="1533525"/>
        </a:xfrm>
        <a:prstGeom prst="rect">
          <a:avLst/>
        </a:prstGeom>
        <a:solidFill>
          <a:srgbClr val="00FF00"/>
        </a:solidFill>
        <a:ln w="57150" cmpd="thinThick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Si fa l'ipotesi di un impianto fotovoltaico che produce 3600 kw all'anno per una casa domotica:
a) il costo iniziale dell'impianto è di € 13000 + 10% di Iva; ma si richiede un finanziamento alla banca che viene ammortizzato in cinque anni al tasso del 0,02
b) viene dato un incentivo di € 0,47per ogni kw prodotto all'anno e per 20 anni:
c) viene previsto dopo dieci anni un costo pari a € 1430 per manutenzione dell'impianto
d) supponendo un consumo del 30% dell'energia prodotta all'anno(l'energia che viene consumata mentre viene prodotta e nei limiti della produzione non comporta costi) si realizza un risparmio di € 0,18 per ogni kw risparmiato
e) supponendo inoltre di consumare 4000 kw all'anno, si ha un costo aggiuntivo di  € 0,18 da pagare al gestore per i  2920 kw rimanenti
f) inoltre vengono venduti al GSE i 2520 ( 3600-1080) kw  non sfruttati e che vengono pagati € 0,14 al kw senza Iva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152400</xdr:rowOff>
    </xdr:from>
    <xdr:to>
      <xdr:col>8</xdr:col>
      <xdr:colOff>266700</xdr:colOff>
      <xdr:row>10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152400"/>
          <a:ext cx="8582025" cy="15811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Si fa l'ipotesi di un impianto fotovoltaico che produce 3600 kw all'anno per una casa domotica:
a) il costo iniziale dell'impianto è di € 13000 + 10% di Iva; ma si richiede un finanziamento alla banca che viene ammortizzato in cinque anni al tasso del 0,02
b) viene dato un incentivo di € 0,47per ogni kw prodotto all'anno e per 20 anni:
c) viene previsto dopo dieci anni un costo pari a € 1430 per manutenzione dell'impianto
d) supponendo un consumo del 30% dell'energia prodotta all'anno(l'energia che viene consumata mentre viene prodotta e nei limiti della produzione non comporta costi) si realizza un risparmio di € 0,18 per ogni kw risparmiato
e) supponendo inoltre di consumare 4000 kw all'anno, si ha un costo aggiuntivo di  € 0,18 da pagare al gestore per i  2920 kw rimanenti
f) inoltre vengono venduti al GSE i 2520 ( 3600-1080) kw  non sfruttati e che vengono pagati € 0,14 al kw senza Iva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180975</xdr:colOff>
      <xdr:row>13</xdr:row>
      <xdr:rowOff>85725</xdr:rowOff>
    </xdr:from>
    <xdr:to>
      <xdr:col>10</xdr:col>
      <xdr:colOff>438150</xdr:colOff>
      <xdr:row>14</xdr:row>
      <xdr:rowOff>161925</xdr:rowOff>
    </xdr:to>
    <xdr:sp macro="[0]!Macro3">
      <xdr:nvSpPr>
        <xdr:cNvPr id="2" name="AutoShape 3"/>
        <xdr:cNvSpPr>
          <a:spLocks/>
        </xdr:cNvSpPr>
      </xdr:nvSpPr>
      <xdr:spPr>
        <a:xfrm>
          <a:off x="10467975" y="2219325"/>
          <a:ext cx="257175" cy="285750"/>
        </a:xfrm>
        <a:prstGeom prst="smileyFace">
          <a:avLst>
            <a:gd name="adj" fmla="val 21805"/>
          </a:avLst>
        </a:prstGeom>
        <a:solidFill>
          <a:srgbClr val="00CCFF"/>
        </a:solidFill>
        <a:ln w="1270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16</xdr:row>
      <xdr:rowOff>57150</xdr:rowOff>
    </xdr:from>
    <xdr:to>
      <xdr:col>10</xdr:col>
      <xdr:colOff>466725</xdr:colOff>
      <xdr:row>17</xdr:row>
      <xdr:rowOff>133350</xdr:rowOff>
    </xdr:to>
    <xdr:sp macro="[0]!MacroVIOLA">
      <xdr:nvSpPr>
        <xdr:cNvPr id="3" name="AutoShape 4"/>
        <xdr:cNvSpPr>
          <a:spLocks/>
        </xdr:cNvSpPr>
      </xdr:nvSpPr>
      <xdr:spPr>
        <a:xfrm>
          <a:off x="10496550" y="2828925"/>
          <a:ext cx="257175" cy="285750"/>
        </a:xfrm>
        <a:prstGeom prst="smileyFace">
          <a:avLst>
            <a:gd name="adj" fmla="val 21805"/>
          </a:avLst>
        </a:prstGeom>
        <a:solidFill>
          <a:srgbClr val="CC99FF"/>
        </a:solidFill>
        <a:ln w="1270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J32"/>
  <sheetViews>
    <sheetView workbookViewId="0" topLeftCell="A7">
      <selection activeCell="A33" sqref="A33"/>
    </sheetView>
  </sheetViews>
  <sheetFormatPr defaultColWidth="9.140625" defaultRowHeight="12.75"/>
  <cols>
    <col min="1" max="1" width="61.28125" style="0" customWidth="1"/>
    <col min="2" max="2" width="8.00390625" style="0" customWidth="1"/>
    <col min="3" max="3" width="12.00390625" style="0" customWidth="1"/>
    <col min="4" max="4" width="2.8515625" style="0" customWidth="1"/>
    <col min="5" max="5" width="17.421875" style="0" customWidth="1"/>
    <col min="6" max="6" width="10.28125" style="0" customWidth="1"/>
    <col min="8" max="8" width="3.28125" style="0" customWidth="1"/>
    <col min="10" max="10" width="7.140625" style="0" customWidth="1"/>
  </cols>
  <sheetData>
    <row r="12" ht="13.5" thickBot="1">
      <c r="B12" s="21" t="s">
        <v>7</v>
      </c>
    </row>
    <row r="13" spans="2:10" ht="16.5" thickBot="1" thickTop="1">
      <c r="B13" s="21" t="s">
        <v>8</v>
      </c>
      <c r="E13" s="24" t="s">
        <v>25</v>
      </c>
      <c r="F13" s="25">
        <v>0.015</v>
      </c>
      <c r="I13" s="23"/>
      <c r="J13" s="7"/>
    </row>
    <row r="14" spans="1:10" ht="16.5" thickTop="1">
      <c r="A14" s="15" t="s">
        <v>9</v>
      </c>
      <c r="B14" s="16">
        <v>1</v>
      </c>
      <c r="C14" s="2">
        <v>3600</v>
      </c>
      <c r="E14" s="68" t="s">
        <v>32</v>
      </c>
      <c r="F14" s="69"/>
      <c r="G14" s="70"/>
      <c r="I14" s="75" t="s">
        <v>29</v>
      </c>
      <c r="J14" s="76"/>
    </row>
    <row r="15" spans="1:10" ht="16.5" thickBot="1">
      <c r="A15" s="15" t="s">
        <v>12</v>
      </c>
      <c r="B15" s="16">
        <v>1</v>
      </c>
      <c r="C15" s="2">
        <v>4000</v>
      </c>
      <c r="E15" s="71" t="s">
        <v>18</v>
      </c>
      <c r="F15" s="74">
        <f>($C$20*(1-(1+$F$13)^(-$B$30))/$F$13)-($C$21*(1+$F$13)^(-$B$21))-$C$18</f>
        <v>13517.152682995667</v>
      </c>
      <c r="G15" s="73"/>
      <c r="I15" s="77" t="s">
        <v>28</v>
      </c>
      <c r="J15" s="78">
        <f>$F$15/$C$18</f>
        <v>0.9452554323773193</v>
      </c>
    </row>
    <row r="16" spans="1:7" ht="17.25" thickBot="1" thickTop="1">
      <c r="A16" s="15" t="s">
        <v>0</v>
      </c>
      <c r="B16" s="16"/>
      <c r="C16" s="2">
        <v>13000</v>
      </c>
      <c r="E16" s="18" t="s">
        <v>35</v>
      </c>
      <c r="F16" s="19"/>
      <c r="G16" s="20"/>
    </row>
    <row r="17" spans="1:10" ht="16.5" thickTop="1">
      <c r="A17" s="15" t="s">
        <v>1</v>
      </c>
      <c r="B17" s="16"/>
      <c r="C17" s="3">
        <v>0.1</v>
      </c>
      <c r="E17" s="26" t="s">
        <v>33</v>
      </c>
      <c r="F17" s="27"/>
      <c r="G17" s="28"/>
      <c r="I17" s="60" t="s">
        <v>29</v>
      </c>
      <c r="J17" s="61"/>
    </row>
    <row r="18" spans="1:10" ht="16.5" thickBot="1">
      <c r="A18" s="15" t="s">
        <v>2</v>
      </c>
      <c r="B18" s="16"/>
      <c r="C18" s="17">
        <f>C16+C16*C17</f>
        <v>14300</v>
      </c>
      <c r="E18" s="29" t="s">
        <v>18</v>
      </c>
      <c r="F18" s="30">
        <f>($C$20*(1-(1+$F$13)^(-$B$30))/$F$13)-$C$21*(1+$F$13)^(-$B$21)-$C$18+($C$25*(1-(1+$F$13)^(-$B$30))/$F$13)+($C$29*(1-(1+$F$13)^(-$B$30))/$F$13)</f>
        <v>22915.265553949437</v>
      </c>
      <c r="G18" s="31"/>
      <c r="I18" s="56" t="s">
        <v>28</v>
      </c>
      <c r="J18" s="62">
        <f>$F$18/$C$18</f>
        <v>1.6024661226538068</v>
      </c>
    </row>
    <row r="19" spans="1:3" ht="16.5" thickTop="1">
      <c r="A19" s="15" t="s">
        <v>5</v>
      </c>
      <c r="B19" s="16">
        <v>1</v>
      </c>
      <c r="C19" s="2">
        <v>0.47</v>
      </c>
    </row>
    <row r="20" spans="1:3" ht="15.75">
      <c r="A20" s="15" t="s">
        <v>6</v>
      </c>
      <c r="B20" s="16">
        <v>1</v>
      </c>
      <c r="C20" s="17">
        <f>C19*C14</f>
        <v>1692</v>
      </c>
    </row>
    <row r="21" spans="1:3" ht="15.75">
      <c r="A21" s="15" t="s">
        <v>3</v>
      </c>
      <c r="B21" s="16">
        <v>10</v>
      </c>
      <c r="C21" s="17">
        <f>14300*C17</f>
        <v>1430</v>
      </c>
    </row>
    <row r="22" spans="1:5" ht="15.75">
      <c r="A22" s="15" t="s">
        <v>4</v>
      </c>
      <c r="B22" s="16"/>
      <c r="C22" s="3">
        <v>0.3</v>
      </c>
      <c r="E22" s="5"/>
    </row>
    <row r="23" spans="1:6" ht="15.75">
      <c r="A23" s="15" t="s">
        <v>19</v>
      </c>
      <c r="B23" s="16">
        <v>1</v>
      </c>
      <c r="C23" s="17">
        <f>C14*C22</f>
        <v>1080</v>
      </c>
      <c r="E23" s="8"/>
      <c r="F23" s="9"/>
    </row>
    <row r="24" spans="1:3" ht="15.75">
      <c r="A24" s="15" t="s">
        <v>10</v>
      </c>
      <c r="B24" s="16"/>
      <c r="C24" s="2">
        <v>0.18</v>
      </c>
    </row>
    <row r="25" spans="1:6" ht="15.75">
      <c r="A25" s="12" t="s">
        <v>11</v>
      </c>
      <c r="B25" s="13">
        <v>1</v>
      </c>
      <c r="C25" s="14">
        <f>0.18*C23</f>
        <v>194.4</v>
      </c>
      <c r="E25" s="7"/>
      <c r="F25" s="7"/>
    </row>
    <row r="26" spans="1:10" ht="15.75">
      <c r="A26" s="12" t="s">
        <v>31</v>
      </c>
      <c r="B26" s="13">
        <v>1</v>
      </c>
      <c r="C26" s="14">
        <f>C15-C23</f>
        <v>2920</v>
      </c>
      <c r="E26" s="8"/>
      <c r="F26" s="9"/>
      <c r="J26" s="11"/>
    </row>
    <row r="27" spans="1:3" ht="15.75">
      <c r="A27" s="15" t="s">
        <v>14</v>
      </c>
      <c r="B27" s="16">
        <v>1</v>
      </c>
      <c r="C27" s="17">
        <f>C14-C23</f>
        <v>2520</v>
      </c>
    </row>
    <row r="28" spans="1:3" ht="15.75">
      <c r="A28" s="15" t="s">
        <v>15</v>
      </c>
      <c r="B28" s="17"/>
      <c r="C28" s="2">
        <v>0.14</v>
      </c>
    </row>
    <row r="29" spans="1:3" ht="15.75">
      <c r="A29" s="15" t="s">
        <v>16</v>
      </c>
      <c r="B29" s="16">
        <v>1</v>
      </c>
      <c r="C29" s="17">
        <f>ROUND(C28*C27,0)</f>
        <v>353</v>
      </c>
    </row>
    <row r="30" spans="1:3" ht="15.75">
      <c r="A30" s="15" t="s">
        <v>17</v>
      </c>
      <c r="B30" s="1">
        <v>20</v>
      </c>
      <c r="C30" s="17"/>
    </row>
    <row r="32" ht="12.75">
      <c r="J32" s="10"/>
    </row>
  </sheetData>
  <printOptions/>
  <pageMargins left="0.35433070866141736" right="0.1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 xml:space="preserve">&amp;LI.T.C. BODONI&amp;CANALISI FINANZIARIA DELL'INVESTIMENTO&amp;R4^BP  MERCURIO </oddHeader>
    <oddFooter>&amp;CVALUTAZIONE SENZA FINANZIAMENTO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J39"/>
  <sheetViews>
    <sheetView workbookViewId="0" topLeftCell="A1">
      <selection activeCell="A28" sqref="A28"/>
    </sheetView>
  </sheetViews>
  <sheetFormatPr defaultColWidth="9.140625" defaultRowHeight="12.75"/>
  <cols>
    <col min="1" max="1" width="61.421875" style="0" customWidth="1"/>
    <col min="4" max="4" width="5.00390625" style="0" customWidth="1"/>
    <col min="5" max="5" width="18.28125" style="0" customWidth="1"/>
    <col min="6" max="6" width="10.421875" style="0" customWidth="1"/>
    <col min="8" max="8" width="3.7109375" style="0" customWidth="1"/>
    <col min="9" max="9" width="7.00390625" style="0" customWidth="1"/>
  </cols>
  <sheetData>
    <row r="12" ht="13.5" thickBot="1">
      <c r="B12" s="21" t="s">
        <v>7</v>
      </c>
    </row>
    <row r="13" spans="2:6" ht="14.25" thickBot="1" thickTop="1">
      <c r="B13" s="21" t="s">
        <v>8</v>
      </c>
      <c r="E13" s="58" t="s">
        <v>30</v>
      </c>
      <c r="F13" s="34">
        <v>0.015</v>
      </c>
    </row>
    <row r="14" spans="1:10" ht="16.5" thickTop="1">
      <c r="A14" s="43" t="s">
        <v>9</v>
      </c>
      <c r="B14" s="44">
        <v>1</v>
      </c>
      <c r="C14" s="45">
        <v>3600</v>
      </c>
      <c r="E14" s="68" t="s">
        <v>32</v>
      </c>
      <c r="F14" s="69"/>
      <c r="G14" s="70"/>
      <c r="I14" s="79" t="s">
        <v>29</v>
      </c>
      <c r="J14" s="80"/>
    </row>
    <row r="15" spans="1:10" ht="16.5" thickBot="1">
      <c r="A15" s="46" t="s">
        <v>12</v>
      </c>
      <c r="B15" s="16">
        <v>1</v>
      </c>
      <c r="C15" s="47">
        <v>4000</v>
      </c>
      <c r="E15" s="71" t="s">
        <v>18</v>
      </c>
      <c r="F15" s="72">
        <f>($C$20*(1-(1+$F$13)^(-$B$30))/$F$13)-$C$21*(1+$F$13)^(-$B$21)-$G$27*((1-(1+$F$13)^(-$G$26))/$F$13)</f>
        <v>13307.253321413205</v>
      </c>
      <c r="G15" s="73"/>
      <c r="I15" s="77" t="s">
        <v>28</v>
      </c>
      <c r="J15" s="81">
        <f>$F$15/$C$18</f>
        <v>0.9305771553435808</v>
      </c>
    </row>
    <row r="16" spans="1:7" ht="17.25" thickBot="1" thickTop="1">
      <c r="A16" s="46" t="s">
        <v>0</v>
      </c>
      <c r="B16" s="16"/>
      <c r="C16" s="47">
        <v>13000</v>
      </c>
      <c r="E16" s="32" t="s">
        <v>35</v>
      </c>
      <c r="F16" s="19"/>
      <c r="G16" s="20"/>
    </row>
    <row r="17" spans="1:10" ht="16.5" thickTop="1">
      <c r="A17" s="46" t="s">
        <v>1</v>
      </c>
      <c r="B17" s="16"/>
      <c r="C17" s="48">
        <v>0.1</v>
      </c>
      <c r="E17" s="26" t="s">
        <v>33</v>
      </c>
      <c r="F17" s="27"/>
      <c r="G17" s="28"/>
      <c r="I17" s="66" t="s">
        <v>29</v>
      </c>
      <c r="J17" s="55"/>
    </row>
    <row r="18" spans="1:10" ht="16.5" thickBot="1">
      <c r="A18" s="46" t="s">
        <v>2</v>
      </c>
      <c r="B18" s="16"/>
      <c r="C18" s="49">
        <f>C16+C16*C17</f>
        <v>14300</v>
      </c>
      <c r="E18" s="29" t="s">
        <v>18</v>
      </c>
      <c r="F18" s="30">
        <f>($C$20*(1-(1+$F$13)^(-$B$30))/$F$13)-$C$21*(1+$F$13)^(-$B$21)+($C$25*(1-(1+$F$13)^(-$B$30))/$F$13)+($C$29*(1-(1+$F$13)^(-$B$30))/$F$13)-$G$27*((1-(1+$F$13)^(-$G$26))/$F$13)</f>
        <v>22705.366192366975</v>
      </c>
      <c r="G18" s="31"/>
      <c r="I18" s="56" t="s">
        <v>28</v>
      </c>
      <c r="J18" s="57">
        <f>$F$18/$C$18</f>
        <v>1.5877878456200682</v>
      </c>
    </row>
    <row r="19" spans="1:3" ht="16.5" thickTop="1">
      <c r="A19" s="46" t="s">
        <v>5</v>
      </c>
      <c r="B19" s="16">
        <v>1</v>
      </c>
      <c r="C19" s="47">
        <v>0.47</v>
      </c>
    </row>
    <row r="20" spans="1:3" ht="15.75">
      <c r="A20" s="46" t="s">
        <v>6</v>
      </c>
      <c r="B20" s="16">
        <v>1</v>
      </c>
      <c r="C20" s="49">
        <f>C19*C14</f>
        <v>1692</v>
      </c>
    </row>
    <row r="21" spans="1:3" ht="15.75">
      <c r="A21" s="46" t="s">
        <v>3</v>
      </c>
      <c r="B21" s="16">
        <v>10</v>
      </c>
      <c r="C21" s="49">
        <f>C18*C17</f>
        <v>1430</v>
      </c>
    </row>
    <row r="22" spans="1:5" ht="15.75">
      <c r="A22" s="46" t="s">
        <v>4</v>
      </c>
      <c r="B22" s="16"/>
      <c r="C22" s="48">
        <v>0.3</v>
      </c>
      <c r="E22" s="5"/>
    </row>
    <row r="23" spans="1:5" ht="16.5" thickBot="1">
      <c r="A23" s="46" t="s">
        <v>19</v>
      </c>
      <c r="B23" s="16">
        <v>1</v>
      </c>
      <c r="C23" s="49">
        <f>C14*C22</f>
        <v>1080</v>
      </c>
      <c r="E23" s="6" t="s">
        <v>20</v>
      </c>
    </row>
    <row r="24" spans="1:7" ht="16.5" thickTop="1">
      <c r="A24" s="46" t="s">
        <v>10</v>
      </c>
      <c r="B24" s="16"/>
      <c r="C24" s="47">
        <v>0.18</v>
      </c>
      <c r="E24" s="35" t="s">
        <v>21</v>
      </c>
      <c r="F24" s="36"/>
      <c r="G24" s="59">
        <f>C18</f>
        <v>14300</v>
      </c>
    </row>
    <row r="25" spans="1:7" ht="15.75">
      <c r="A25" s="50" t="s">
        <v>11</v>
      </c>
      <c r="B25" s="13">
        <v>1</v>
      </c>
      <c r="C25" s="51">
        <f>0.18*C23</f>
        <v>194.4</v>
      </c>
      <c r="E25" s="37" t="s">
        <v>22</v>
      </c>
      <c r="F25" s="4"/>
      <c r="G25" s="38">
        <v>0.02</v>
      </c>
    </row>
    <row r="26" spans="1:7" ht="15.75">
      <c r="A26" s="50" t="s">
        <v>31</v>
      </c>
      <c r="B26" s="13">
        <v>1</v>
      </c>
      <c r="C26" s="51">
        <f>C15-C23</f>
        <v>2920</v>
      </c>
      <c r="E26" s="39" t="s">
        <v>24</v>
      </c>
      <c r="F26" s="4"/>
      <c r="G26" s="38">
        <v>5</v>
      </c>
    </row>
    <row r="27" spans="1:7" ht="16.5" thickBot="1">
      <c r="A27" s="46" t="s">
        <v>14</v>
      </c>
      <c r="B27" s="16">
        <v>1</v>
      </c>
      <c r="C27" s="49">
        <f>C14-C23</f>
        <v>2520</v>
      </c>
      <c r="E27" s="40" t="s">
        <v>23</v>
      </c>
      <c r="F27" s="41"/>
      <c r="G27" s="42">
        <f>G24/((1-(1+G25)^(-G26))/G25)</f>
        <v>3033.865035691809</v>
      </c>
    </row>
    <row r="28" spans="1:3" ht="16.5" thickTop="1">
      <c r="A28" s="46" t="s">
        <v>15</v>
      </c>
      <c r="B28" s="17"/>
      <c r="C28" s="47">
        <v>0.14</v>
      </c>
    </row>
    <row r="29" spans="1:3" ht="15.75">
      <c r="A29" s="46" t="s">
        <v>16</v>
      </c>
      <c r="B29" s="16">
        <v>1</v>
      </c>
      <c r="C29" s="49">
        <f>ROUND(C28*C27,0)</f>
        <v>353</v>
      </c>
    </row>
    <row r="30" spans="1:3" ht="16.5" thickBot="1">
      <c r="A30" s="52" t="s">
        <v>17</v>
      </c>
      <c r="B30" s="53">
        <v>20</v>
      </c>
      <c r="C30" s="54"/>
    </row>
    <row r="31" ht="13.5" thickTop="1"/>
    <row r="39" ht="12.75">
      <c r="B39" s="22"/>
    </row>
  </sheetData>
  <printOptions/>
  <pageMargins left="0.21" right="0.34" top="1" bottom="1" header="0.5" footer="0.5"/>
  <pageSetup fitToHeight="1" fitToWidth="1" horizontalDpi="600" verticalDpi="600" orientation="landscape" paperSize="9" scale="95" r:id="rId2"/>
  <headerFooter alignWithMargins="0">
    <oddHeader>&amp;LI.T.C. BODONI&amp;CANALISI FINANZIARIA
 DELL' INVESTIMENTO&amp;R4^BP MERCURIO</oddHeader>
    <oddFooter>&amp;CCON FINANZIAMENTO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I30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61.57421875" style="0" customWidth="1"/>
    <col min="4" max="4" width="5.57421875" style="0" customWidth="1"/>
    <col min="5" max="5" width="18.8515625" style="0" customWidth="1"/>
    <col min="6" max="6" width="11.57421875" style="0" customWidth="1"/>
    <col min="8" max="8" width="3.8515625" style="0" customWidth="1"/>
    <col min="9" max="9" width="16.28125" style="0" customWidth="1"/>
  </cols>
  <sheetData>
    <row r="12" ht="13.5" thickBot="1">
      <c r="B12" s="21" t="s">
        <v>34</v>
      </c>
    </row>
    <row r="13" spans="2:6" ht="14.25" thickBot="1" thickTop="1">
      <c r="B13" s="21" t="s">
        <v>8</v>
      </c>
      <c r="E13" s="33" t="s">
        <v>25</v>
      </c>
      <c r="F13" s="65">
        <v>0.015</v>
      </c>
    </row>
    <row r="14" spans="1:9" ht="16.5" thickTop="1">
      <c r="A14" s="15" t="s">
        <v>9</v>
      </c>
      <c r="B14" s="16">
        <v>1</v>
      </c>
      <c r="C14" s="2">
        <v>3600</v>
      </c>
      <c r="E14" s="68" t="s">
        <v>32</v>
      </c>
      <c r="F14" s="69"/>
      <c r="G14" s="70"/>
      <c r="I14" s="82" t="s">
        <v>27</v>
      </c>
    </row>
    <row r="15" spans="1:9" ht="16.5" thickBot="1">
      <c r="A15" s="15" t="s">
        <v>12</v>
      </c>
      <c r="B15" s="16">
        <v>1</v>
      </c>
      <c r="C15" s="2">
        <v>4000</v>
      </c>
      <c r="E15" s="71" t="s">
        <v>18</v>
      </c>
      <c r="F15" s="72">
        <f>($C$20*(1-(1+$F$13)^(-$I$15))/$F$13)-$C$21*(1+$F$13)^(-$I$15/2)-$G$27*((1-(1+$F$13)^(-$G$26))/$F$13)</f>
        <v>13307.253321413205</v>
      </c>
      <c r="G15" s="73"/>
      <c r="I15" s="83">
        <v>20</v>
      </c>
    </row>
    <row r="16" spans="1:7" ht="17.25" thickBot="1" thickTop="1">
      <c r="A16" s="15" t="s">
        <v>0</v>
      </c>
      <c r="B16" s="16"/>
      <c r="C16" s="2">
        <v>13000</v>
      </c>
      <c r="E16" s="32" t="s">
        <v>35</v>
      </c>
      <c r="F16" s="19"/>
      <c r="G16" s="20"/>
    </row>
    <row r="17" spans="1:9" ht="16.5" thickTop="1">
      <c r="A17" s="15" t="s">
        <v>1</v>
      </c>
      <c r="B17" s="16"/>
      <c r="C17" s="3">
        <v>0.1</v>
      </c>
      <c r="E17" s="26" t="s">
        <v>33</v>
      </c>
      <c r="F17" s="27"/>
      <c r="G17" s="28"/>
      <c r="I17" s="67" t="s">
        <v>27</v>
      </c>
    </row>
    <row r="18" spans="1:9" ht="16.5" thickBot="1">
      <c r="A18" s="15" t="s">
        <v>2</v>
      </c>
      <c r="B18" s="16"/>
      <c r="C18" s="17">
        <f>C16+C16*C17</f>
        <v>14300</v>
      </c>
      <c r="E18" s="29" t="s">
        <v>18</v>
      </c>
      <c r="F18" s="63">
        <f>($C$20*(1-(1+$F$13)^(-$I$18))/$F$13)-$C$21*(1+$F$13)^(-$I$18/2)+($C$25*(1-(1+$F$13)^(-$I$18))/$F$13)+($C$29*(1-(1+$F$13)^(-$I$18))/$F$13)-$G$27*((1-(1+$F$13)^(-$G$26))/$F$13)</f>
        <v>22705.366192366975</v>
      </c>
      <c r="G18" s="31"/>
      <c r="I18" s="64">
        <v>20</v>
      </c>
    </row>
    <row r="19" spans="1:3" ht="16.5" thickTop="1">
      <c r="A19" s="15" t="s">
        <v>5</v>
      </c>
      <c r="B19" s="16">
        <v>1</v>
      </c>
      <c r="C19" s="2">
        <v>0.47</v>
      </c>
    </row>
    <row r="20" spans="1:3" ht="15.75">
      <c r="A20" s="15" t="s">
        <v>6</v>
      </c>
      <c r="B20" s="16">
        <v>1</v>
      </c>
      <c r="C20" s="17">
        <f>C19*C14</f>
        <v>1692</v>
      </c>
    </row>
    <row r="21" spans="1:3" ht="15.75">
      <c r="A21" s="15" t="s">
        <v>3</v>
      </c>
      <c r="B21" s="16">
        <v>10</v>
      </c>
      <c r="C21" s="17">
        <v>1430</v>
      </c>
    </row>
    <row r="22" spans="1:5" ht="15.75">
      <c r="A22" s="15" t="s">
        <v>4</v>
      </c>
      <c r="B22" s="16"/>
      <c r="C22" s="3">
        <v>0.3</v>
      </c>
      <c r="E22" s="5"/>
    </row>
    <row r="23" spans="1:5" ht="16.5" thickBot="1">
      <c r="A23" s="15" t="s">
        <v>19</v>
      </c>
      <c r="B23" s="16">
        <v>1</v>
      </c>
      <c r="C23" s="17">
        <f>C14*C22</f>
        <v>1080</v>
      </c>
      <c r="E23" s="6" t="s">
        <v>20</v>
      </c>
    </row>
    <row r="24" spans="1:7" ht="16.5" thickTop="1">
      <c r="A24" s="15" t="s">
        <v>10</v>
      </c>
      <c r="B24" s="16"/>
      <c r="C24" s="2">
        <v>0.18</v>
      </c>
      <c r="E24" s="35" t="s">
        <v>21</v>
      </c>
      <c r="F24" s="36"/>
      <c r="G24" s="59">
        <f>C18</f>
        <v>14300</v>
      </c>
    </row>
    <row r="25" spans="1:7" ht="15.75">
      <c r="A25" s="12" t="s">
        <v>11</v>
      </c>
      <c r="B25" s="13">
        <v>1</v>
      </c>
      <c r="C25" s="14">
        <f>0.18*C23</f>
        <v>194.4</v>
      </c>
      <c r="E25" s="37" t="s">
        <v>22</v>
      </c>
      <c r="F25" s="4"/>
      <c r="G25" s="38">
        <v>0.02</v>
      </c>
    </row>
    <row r="26" spans="1:7" ht="15.75">
      <c r="A26" s="12" t="s">
        <v>13</v>
      </c>
      <c r="B26" s="13">
        <v>1</v>
      </c>
      <c r="C26" s="14">
        <f>C15-C23</f>
        <v>2920</v>
      </c>
      <c r="E26" s="39" t="s">
        <v>26</v>
      </c>
      <c r="F26" s="4"/>
      <c r="G26" s="38">
        <v>5</v>
      </c>
    </row>
    <row r="27" spans="1:7" ht="16.5" thickBot="1">
      <c r="A27" s="15" t="s">
        <v>14</v>
      </c>
      <c r="B27" s="16">
        <v>1</v>
      </c>
      <c r="C27" s="17">
        <f>C14-C23</f>
        <v>2520</v>
      </c>
      <c r="E27" s="40" t="s">
        <v>23</v>
      </c>
      <c r="F27" s="41"/>
      <c r="G27" s="42">
        <f>G24/((1-(1+G25)^(-G26))/G25)</f>
        <v>3033.865035691809</v>
      </c>
    </row>
    <row r="28" spans="1:3" ht="16.5" thickTop="1">
      <c r="A28" s="15" t="s">
        <v>15</v>
      </c>
      <c r="B28" s="17"/>
      <c r="C28" s="2">
        <v>0.14</v>
      </c>
    </row>
    <row r="29" spans="1:3" ht="15.75">
      <c r="A29" s="15" t="s">
        <v>16</v>
      </c>
      <c r="B29" s="16">
        <v>1</v>
      </c>
      <c r="C29" s="17">
        <f>ROUND(C28*C27,0)</f>
        <v>353</v>
      </c>
    </row>
    <row r="30" spans="1:3" ht="15.75">
      <c r="A30" s="15" t="s">
        <v>17</v>
      </c>
      <c r="B30" s="1">
        <v>20</v>
      </c>
      <c r="C30" s="17"/>
    </row>
  </sheetData>
  <printOptions/>
  <pageMargins left="0.28" right="0.32" top="1" bottom="0.75" header="0.5" footer="0.5"/>
  <pageSetup fitToHeight="1" fitToWidth="1" horizontalDpi="600" verticalDpi="600" orientation="landscape" paperSize="9" scale="88" r:id="rId2"/>
  <headerFooter alignWithMargins="0">
    <oddHeader>&amp;LI.T.C. BODONI&amp;CANALISI FINANZIARIA DELL'INVESTIMENTO&amp;R4^BP MERCURIO</oddHeader>
    <oddFooter>&amp;C&amp;"Arial,Corsivo"TEMPO DI RITORNO ATTUALIZZATO "TRA"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</dc:creator>
  <cp:keywords/>
  <dc:description/>
  <cp:lastModifiedBy>bmercurio08-11</cp:lastModifiedBy>
  <cp:lastPrinted>2010-04-27T11:02:55Z</cp:lastPrinted>
  <dcterms:created xsi:type="dcterms:W3CDTF">2010-03-26T20:39:47Z</dcterms:created>
  <dcterms:modified xsi:type="dcterms:W3CDTF">2010-04-29T09:09:20Z</dcterms:modified>
  <cp:category/>
  <cp:version/>
  <cp:contentType/>
  <cp:contentStatus/>
</cp:coreProperties>
</file>